
<file path=[Content_Types].xml><?xml version="1.0" encoding="utf-8"?>
<Types xmlns="http://schemas.openxmlformats.org/package/2006/content-types">
  <Default Extension="xml" ContentType="application/xml"/>
  <Default Extension="jpeg" ContentType="image/jpeg"/>
  <Default Extension="png" ContentType="image/png"/>
  <Default Extension="rels" ContentType="application/vnd.openxmlformats-package.relationships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4" Type="http://schemas.openxmlformats.org/officeDocument/2006/relationships/extended-properties" Target="docProps/app.xml"/><Relationship Id="rId1" Type="http://schemas.openxmlformats.org/officeDocument/2006/relationships/officeDocument" Target="xl/workbook.xml"/><Relationship Id="rId2" Type="http://schemas.openxmlformats.org/package/2006/relationships/metadata/thumbnail" Target="docProps/thumbnail.jpeg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28125"/>
  <workbookPr showInkAnnotation="0" autoCompressPictures="0"/>
  <bookViews>
    <workbookView xWindow="19240" yWindow="0" windowWidth="19020" windowHeight="19460" tabRatio="500"/>
  </bookViews>
  <sheets>
    <sheet name="Hoja1" sheetId="1" r:id="rId1"/>
  </sheets>
  <calcPr calcId="140000" concurrentCalc="0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E330" i="1" l="1"/>
  <c r="E329" i="1"/>
  <c r="E328" i="1"/>
  <c r="B328" i="1"/>
  <c r="B326" i="1"/>
  <c r="B325" i="1"/>
  <c r="E320" i="1"/>
  <c r="E319" i="1"/>
  <c r="E318" i="1"/>
  <c r="B318" i="1"/>
  <c r="B315" i="1"/>
  <c r="B314" i="1"/>
  <c r="E309" i="1"/>
  <c r="E308" i="1"/>
  <c r="E307" i="1"/>
  <c r="B307" i="1"/>
  <c r="B304" i="1"/>
  <c r="B303" i="1"/>
  <c r="E298" i="1"/>
  <c r="E297" i="1"/>
  <c r="E296" i="1"/>
  <c r="B296" i="1"/>
  <c r="B295" i="1"/>
  <c r="B292" i="1"/>
  <c r="B291" i="1"/>
  <c r="B290" i="1"/>
  <c r="E285" i="1"/>
  <c r="E283" i="1"/>
  <c r="E280" i="1"/>
  <c r="B281" i="1"/>
  <c r="B280" i="1"/>
  <c r="B278" i="1"/>
  <c r="B277" i="1"/>
  <c r="B276" i="1"/>
  <c r="B269" i="1"/>
  <c r="B268" i="1"/>
  <c r="B266" i="1"/>
  <c r="B265" i="1"/>
  <c r="B263" i="1"/>
  <c r="B262" i="1"/>
  <c r="B258" i="1"/>
  <c r="F258" i="1"/>
  <c r="F259" i="1"/>
  <c r="B260" i="1"/>
  <c r="B259" i="1"/>
  <c r="B253" i="1"/>
  <c r="E242" i="1"/>
  <c r="B252" i="1"/>
  <c r="B250" i="1"/>
  <c r="B249" i="1"/>
  <c r="E247" i="1"/>
  <c r="B247" i="1"/>
  <c r="B246" i="1"/>
  <c r="E243" i="1"/>
  <c r="J92" i="1"/>
  <c r="B244" i="1"/>
  <c r="B88" i="1"/>
  <c r="B243" i="1"/>
  <c r="D87" i="1"/>
  <c r="B96" i="1"/>
  <c r="B242" i="1"/>
  <c r="C9" i="1"/>
  <c r="B74" i="1"/>
  <c r="C226" i="1"/>
  <c r="M18" i="1"/>
  <c r="N20" i="1"/>
  <c r="B22" i="1"/>
  <c r="C26" i="1"/>
  <c r="H22" i="1"/>
  <c r="J20" i="1"/>
  <c r="E18" i="1"/>
  <c r="B157" i="1"/>
  <c r="G157" i="1"/>
  <c r="B152" i="1"/>
  <c r="J148" i="1"/>
  <c r="B90" i="1"/>
  <c r="B92" i="1"/>
  <c r="B148" i="1"/>
  <c r="D148" i="1"/>
  <c r="B146" i="1"/>
  <c r="G144" i="1"/>
  <c r="B144" i="1"/>
  <c r="D144" i="1"/>
  <c r="B115" i="1"/>
  <c r="G115" i="1"/>
  <c r="D92" i="1"/>
  <c r="B59" i="1"/>
  <c r="B58" i="1"/>
  <c r="B63" i="1"/>
  <c r="B73" i="1"/>
  <c r="D73" i="1"/>
  <c r="J78" i="1"/>
  <c r="D82" i="1"/>
  <c r="B222" i="1"/>
  <c r="B223" i="1"/>
  <c r="B224" i="1"/>
  <c r="B231" i="1"/>
  <c r="B230" i="1"/>
  <c r="B233" i="1"/>
  <c r="B236" i="1"/>
  <c r="B237" i="1"/>
  <c r="B228" i="1"/>
  <c r="D228" i="1"/>
  <c r="B229" i="1"/>
  <c r="C227" i="1"/>
  <c r="C225" i="1"/>
  <c r="D157" i="1"/>
  <c r="J161" i="1"/>
  <c r="B165" i="1"/>
  <c r="B159" i="1"/>
  <c r="B161" i="1"/>
  <c r="B129" i="1"/>
  <c r="D129" i="1"/>
  <c r="G129" i="1"/>
  <c r="H135" i="1"/>
  <c r="J135" i="1"/>
  <c r="B139" i="1"/>
  <c r="B132" i="1"/>
  <c r="B135" i="1"/>
  <c r="D135" i="1"/>
  <c r="D115" i="1"/>
  <c r="H120" i="1"/>
  <c r="J120" i="1"/>
  <c r="B124" i="1"/>
  <c r="B118" i="1"/>
  <c r="B120" i="1"/>
  <c r="M19" i="1"/>
  <c r="B100" i="1"/>
  <c r="D100" i="1"/>
  <c r="B101" i="1"/>
  <c r="J105" i="1"/>
  <c r="B109" i="1"/>
  <c r="B103" i="1"/>
  <c r="B105" i="1"/>
  <c r="C24" i="1"/>
  <c r="B30" i="1"/>
  <c r="B34" i="1"/>
  <c r="C40" i="1"/>
  <c r="B43" i="1"/>
  <c r="B48" i="1"/>
  <c r="B64" i="1"/>
  <c r="E63" i="1"/>
  <c r="E64" i="1"/>
  <c r="B57" i="1"/>
  <c r="E57" i="1"/>
  <c r="D161" i="1"/>
  <c r="D120" i="1"/>
  <c r="D105" i="1"/>
  <c r="B76" i="1"/>
  <c r="B78" i="1"/>
  <c r="D78" i="1"/>
  <c r="N24" i="1"/>
  <c r="N26" i="1"/>
  <c r="N30" i="1"/>
  <c r="M34" i="1"/>
  <c r="M43" i="1"/>
  <c r="M48" i="1"/>
  <c r="M38" i="1"/>
  <c r="M42" i="1"/>
  <c r="B38" i="1"/>
  <c r="B42" i="1"/>
</calcChain>
</file>

<file path=xl/sharedStrings.xml><?xml version="1.0" encoding="utf-8"?>
<sst xmlns="http://schemas.openxmlformats.org/spreadsheetml/2006/main" count="402" uniqueCount="170">
  <si>
    <t>Compuesto</t>
  </si>
  <si>
    <t>Flujo másico (kg/h)</t>
  </si>
  <si>
    <t>LBA</t>
  </si>
  <si>
    <t>Sorbitol</t>
  </si>
  <si>
    <t>TOTAL</t>
  </si>
  <si>
    <t>Lactosa</t>
  </si>
  <si>
    <t>Fructosa</t>
  </si>
  <si>
    <t>Agua</t>
  </si>
  <si>
    <t>densidad lactosa</t>
  </si>
  <si>
    <t>densidad fructosa</t>
  </si>
  <si>
    <t>densidad LBA</t>
  </si>
  <si>
    <t>densidad sorbitol</t>
  </si>
  <si>
    <t>kg/m3</t>
  </si>
  <si>
    <t>densidad agua (20ºC)</t>
  </si>
  <si>
    <t>viscosidad agua (20ºC)</t>
  </si>
  <si>
    <t>kg/ms</t>
  </si>
  <si>
    <t>DISEÑO EQUIPOS PRINCIPALES</t>
  </si>
  <si>
    <t>DISEÑO EQUIPOS SECUNDARIOS</t>
  </si>
  <si>
    <t>Columna de adsorción</t>
  </si>
  <si>
    <t>L·C·t=V·q</t>
  </si>
  <si>
    <t>L</t>
  </si>
  <si>
    <t>L= Ltotal/densidad dlon 20ºC</t>
  </si>
  <si>
    <t>densidad dlon 20ºC = masa total/ sumatorio(masa cada componente/densidad cada componente)</t>
  </si>
  <si>
    <t>Densidad dlon 20ºC</t>
  </si>
  <si>
    <t>V dlon= Vagua</t>
  </si>
  <si>
    <t>m3 agua</t>
  </si>
  <si>
    <t>Concentracion de LBA</t>
  </si>
  <si>
    <t>kg/m3 de LBA</t>
  </si>
  <si>
    <t>concentracion total de mezcla =q</t>
  </si>
  <si>
    <t>kg/m3 de mezcla</t>
  </si>
  <si>
    <t xml:space="preserve">Volumen columa </t>
  </si>
  <si>
    <t xml:space="preserve">L </t>
  </si>
  <si>
    <t>m3/h</t>
  </si>
  <si>
    <t xml:space="preserve">tiempo </t>
  </si>
  <si>
    <t>h</t>
  </si>
  <si>
    <t>m3</t>
  </si>
  <si>
    <t>* Determinación de volumen</t>
  </si>
  <si>
    <t>* Determinación de superficie y diametro</t>
  </si>
  <si>
    <t>v*</t>
  </si>
  <si>
    <t>m/s</t>
  </si>
  <si>
    <t>suposicion</t>
  </si>
  <si>
    <t>s=L/v* =</t>
  </si>
  <si>
    <t>D= raiz(4S/pi)=</t>
  </si>
  <si>
    <t>m</t>
  </si>
  <si>
    <t>Factor seguridad 15 %</t>
  </si>
  <si>
    <t>D</t>
  </si>
  <si>
    <t>S</t>
  </si>
  <si>
    <t>* Determinación de la caída de presion de la columna</t>
  </si>
  <si>
    <t>La primera columna separa totalmente el LBA</t>
  </si>
  <si>
    <t>L mezcla</t>
  </si>
  <si>
    <t>kg/h</t>
  </si>
  <si>
    <t>Concentracion sorbitol</t>
  </si>
  <si>
    <t>kg/m3 de S</t>
  </si>
  <si>
    <t>concentracion total de mezcla</t>
  </si>
  <si>
    <t>kg/m3 mezcla</t>
  </si>
  <si>
    <t>Volumen columna 2</t>
  </si>
  <si>
    <t>m2</t>
  </si>
  <si>
    <t>* Determinación de la altura de la columa</t>
  </si>
  <si>
    <t>h=V/S=</t>
  </si>
  <si>
    <t>Tuberias</t>
  </si>
  <si>
    <t>Lmezcla</t>
  </si>
  <si>
    <t>densidad dlon 20ºC</t>
  </si>
  <si>
    <t>vopt</t>
  </si>
  <si>
    <t>Dopt</t>
  </si>
  <si>
    <t>kg/s</t>
  </si>
  <si>
    <t>in</t>
  </si>
  <si>
    <t xml:space="preserve"> Se selecciona </t>
  </si>
  <si>
    <t>D=</t>
  </si>
  <si>
    <t>Se recalcula la v</t>
  </si>
  <si>
    <t>v=Q/S=(L/densidad)/(pi*D^2/4)=</t>
  </si>
  <si>
    <t>* Tramo desde el tanque del eluyente a la primera columna</t>
  </si>
  <si>
    <t>* Tramo desde el tanque de productos de reaccion hasta la primera columna</t>
  </si>
  <si>
    <t>* Tramo desde la primera columna hasta el tanque de LBA</t>
  </si>
  <si>
    <t>L de LBA</t>
  </si>
  <si>
    <t>Kg/h</t>
  </si>
  <si>
    <t>v opt =10,74  ·( (L^0,1)/(densidad^0,36))</t>
  </si>
  <si>
    <t>Dopt = raiz ((4·L)/(pi·densidad·vopt))</t>
  </si>
  <si>
    <t>Se seleccciona</t>
  </si>
  <si>
    <t>* Tramo desde la primera columna hasta la segunda columna</t>
  </si>
  <si>
    <t>L mezcla sin LBA</t>
  </si>
  <si>
    <t>L eluyente</t>
  </si>
  <si>
    <t>Se selecciona</t>
  </si>
  <si>
    <t>V</t>
  </si>
  <si>
    <t>L de sorbitol</t>
  </si>
  <si>
    <t>v</t>
  </si>
  <si>
    <t>* Tramo desde la segunda columna al tanque de productos</t>
  </si>
  <si>
    <t>* Tramo desde la segunda columna al tanque de sorbitol</t>
  </si>
  <si>
    <t>L lactosa y fructosa</t>
  </si>
  <si>
    <t>BOMBAS</t>
  </si>
  <si>
    <t>Vi=V2, variacion de velocidad despreciable</t>
  </si>
  <si>
    <t>diferencia de altura</t>
  </si>
  <si>
    <t>Pcarga=Pdescarga=Patm, diferencia de presiones despreciable</t>
  </si>
  <si>
    <t>Se simplifica la ecuacion en:</t>
  </si>
  <si>
    <t>g</t>
  </si>
  <si>
    <t>m/s2</t>
  </si>
  <si>
    <t>ev</t>
  </si>
  <si>
    <t>Rep=(Dp·v*·densidad)/viscosidad</t>
  </si>
  <si>
    <t>La primera columna está empacada con resina en forma de potasio (4% DVB, 55 microm de tamaño medio de partícula)</t>
  </si>
  <si>
    <t>Dp</t>
  </si>
  <si>
    <t>densidad</t>
  </si>
  <si>
    <t>viscosidad</t>
  </si>
  <si>
    <t>Rep</t>
  </si>
  <si>
    <t>Se confirma que se trata de régimen laminar</t>
  </si>
  <si>
    <t>Ec. Blake-Kozeny (para regimen laminar)</t>
  </si>
  <si>
    <t>porosidad</t>
  </si>
  <si>
    <t>Pa/m</t>
  </si>
  <si>
    <t>incremento P</t>
  </si>
  <si>
    <t>incrementoP/L=(150*(1-porosidad)^2*v*viscosidad)/(Dp^2*porosidad^3)</t>
  </si>
  <si>
    <t>incremento de P/L</t>
  </si>
  <si>
    <t>Pa</t>
  </si>
  <si>
    <t>bar</t>
  </si>
  <si>
    <t>max 55 bar</t>
  </si>
  <si>
    <t xml:space="preserve">La seguna columna se carga con resina en forma de calcio </t>
  </si>
  <si>
    <t>Ec. Blake-Kozeny</t>
  </si>
  <si>
    <t>densidad agua??</t>
  </si>
  <si>
    <t>densidad lba</t>
  </si>
  <si>
    <t>Como D mayor que Dopt, se recalcula la v:</t>
  </si>
  <si>
    <t>Densidad dlon sin LBA</t>
  </si>
  <si>
    <t>densidad din LBA</t>
  </si>
  <si>
    <t>densidad sin lba y s</t>
  </si>
  <si>
    <t>Suposición</t>
  </si>
  <si>
    <t>f</t>
  </si>
  <si>
    <t>Re=(densidad*v*D)/viscosidad</t>
  </si>
  <si>
    <t>rugosidad relativa</t>
  </si>
  <si>
    <t>rugosidad pared</t>
  </si>
  <si>
    <t>mm</t>
  </si>
  <si>
    <t>Rh=D/4</t>
  </si>
  <si>
    <t>Ws</t>
  </si>
  <si>
    <t>delta h</t>
  </si>
  <si>
    <t>Wp</t>
  </si>
  <si>
    <t>eficacia</t>
  </si>
  <si>
    <t>W</t>
  </si>
  <si>
    <t>m2/s2</t>
  </si>
  <si>
    <t>Se recalcula v</t>
  </si>
  <si>
    <t>Supongo 1000 kg/h de eluyente</t>
  </si>
  <si>
    <t xml:space="preserve">añadi 1000 kg/h de eluyente </t>
  </si>
  <si>
    <t>Eluyente 1</t>
  </si>
  <si>
    <t>Eluyente 2</t>
  </si>
  <si>
    <t>* Tramo desdeel tanque de eluyente hasta la segunda columna de adsorción</t>
  </si>
  <si>
    <t>L eluyente 2</t>
  </si>
  <si>
    <t>densidad agua</t>
  </si>
  <si>
    <t>Se vuelve a suponer un caudal de 1000 kg/h para el eluyente</t>
  </si>
  <si>
    <t>* Tramo desde el tanque de de eluyente hasta la primera columna</t>
  </si>
  <si>
    <t>Re</t>
  </si>
  <si>
    <t>mediante Moody</t>
  </si>
  <si>
    <t>Leluyente</t>
  </si>
  <si>
    <t>* Tramo desde la primera columnahasta la 2 columna</t>
  </si>
  <si>
    <t>L solucion</t>
  </si>
  <si>
    <t>kg7s</t>
  </si>
  <si>
    <t>densidad solucion</t>
  </si>
  <si>
    <t>RH=D/4</t>
  </si>
  <si>
    <t>TANQUES DE ALMACENAMIENTO</t>
  </si>
  <si>
    <t>* Tanque de almacenamiento de productos de reacción</t>
  </si>
  <si>
    <t>t descarga</t>
  </si>
  <si>
    <t>volumen</t>
  </si>
  <si>
    <t>factor segurada</t>
  </si>
  <si>
    <t>Vtanque</t>
  </si>
  <si>
    <t>Vtanque = (pi*3*Dtanque^3)/4</t>
  </si>
  <si>
    <t>Dtanque=raiz cubica((4*Vtanque)/(3*pi))</t>
  </si>
  <si>
    <t>Dtanque</t>
  </si>
  <si>
    <t>Htanque/Dtanque</t>
  </si>
  <si>
    <t>Htanque</t>
  </si>
  <si>
    <t>* Tanque de almacenamiento de eluyentes</t>
  </si>
  <si>
    <t>factor seguridad</t>
  </si>
  <si>
    <t>V tanque</t>
  </si>
  <si>
    <t>* Tanque de almacenamiento de LBA</t>
  </si>
  <si>
    <t>vtanque</t>
  </si>
  <si>
    <t>* Tanque de almacenamiento de sorbitol</t>
  </si>
  <si>
    <t>dtanque</t>
  </si>
  <si>
    <t>htanque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</si>
</sst>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4">
    <numFmt numFmtId="164" formatCode="0.000"/>
    <numFmt numFmtId="165" formatCode="0.0"/>
    <numFmt numFmtId="166" formatCode="0.00E+00;\_x0000_"/>
    <numFmt numFmtId="167" formatCode="0.00000"/>
  </numFmts>
  <fonts count="8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2"/>
      <color theme="1"/>
      <name val="Calibri"/>
      <scheme val="minor"/>
    </font>
    <font>
      <sz val="11"/>
      <color theme="1"/>
      <name val="Arial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sz val="12"/>
      <color rgb="FF008000"/>
      <name val="Calibri"/>
      <scheme val="minor"/>
    </font>
    <font>
      <b/>
      <u/>
      <sz val="12"/>
      <color theme="1"/>
      <name val="Calibri"/>
      <scheme val="minor"/>
    </font>
  </fonts>
  <fills count="5">
    <fill>
      <patternFill patternType="none"/>
    </fill>
    <fill>
      <patternFill patternType="gray125"/>
    </fill>
    <fill>
      <patternFill patternType="solid">
        <fgColor theme="6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FFFF00"/>
        <bgColor indexed="64"/>
      </patternFill>
    </fill>
  </fills>
  <borders count="1">
    <border>
      <left/>
      <right/>
      <top/>
      <bottom/>
      <diagonal/>
    </border>
  </borders>
  <cellStyleXfs count="73">
    <xf numFmtId="0" fontId="0" fillId="0" borderId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</cellStyleXfs>
  <cellXfs count="20">
    <xf numFmtId="0" fontId="0" fillId="0" borderId="0" xfId="0"/>
    <xf numFmtId="0" fontId="1" fillId="0" borderId="0" xfId="0" applyFont="1"/>
    <xf numFmtId="0" fontId="2" fillId="0" borderId="0" xfId="0" applyFont="1"/>
    <xf numFmtId="0" fontId="3" fillId="0" borderId="0" xfId="0" applyFont="1"/>
    <xf numFmtId="164" fontId="0" fillId="0" borderId="0" xfId="0" applyNumberFormat="1"/>
    <xf numFmtId="2" fontId="0" fillId="0" borderId="0" xfId="0" applyNumberFormat="1"/>
    <xf numFmtId="165" fontId="0" fillId="0" borderId="0" xfId="0" applyNumberFormat="1"/>
    <xf numFmtId="0" fontId="0" fillId="2" borderId="0" xfId="0" applyFill="1"/>
    <xf numFmtId="2" fontId="6" fillId="2" borderId="0" xfId="0" applyNumberFormat="1" applyFont="1" applyFill="1"/>
    <xf numFmtId="2" fontId="0" fillId="2" borderId="0" xfId="0" applyNumberFormat="1" applyFill="1"/>
    <xf numFmtId="0" fontId="0" fillId="3" borderId="0" xfId="0" applyFill="1"/>
    <xf numFmtId="2" fontId="0" fillId="3" borderId="0" xfId="0" applyNumberFormat="1" applyFill="1"/>
    <xf numFmtId="2" fontId="0" fillId="0" borderId="0" xfId="0" applyNumberFormat="1" applyFill="1"/>
    <xf numFmtId="0" fontId="0" fillId="4" borderId="0" xfId="0" applyFill="1"/>
    <xf numFmtId="0" fontId="7" fillId="0" borderId="0" xfId="0" applyFont="1"/>
    <xf numFmtId="11" fontId="0" fillId="0" borderId="0" xfId="0" applyNumberFormat="1"/>
    <xf numFmtId="0" fontId="0" fillId="0" borderId="0" xfId="0" applyNumberFormat="1"/>
    <xf numFmtId="0" fontId="0" fillId="0" borderId="0" xfId="0" applyFill="1"/>
    <xf numFmtId="167" fontId="0" fillId="0" borderId="0" xfId="0" applyNumberFormat="1"/>
    <xf numFmtId="166" fontId="0" fillId="2" borderId="0" xfId="0" applyNumberFormat="1" applyFill="1"/>
  </cellXfs>
  <cellStyles count="73">
    <cellStyle name="Hipervínculo" xfId="1" builtinId="8" hidden="1"/>
    <cellStyle name="Hipervínculo" xfId="3" builtinId="8" hidden="1"/>
    <cellStyle name="Hipervínculo" xfId="5" builtinId="8" hidden="1"/>
    <cellStyle name="Hipervínculo" xfId="7" builtinId="8" hidden="1"/>
    <cellStyle name="Hipervínculo" xfId="9" builtinId="8" hidden="1"/>
    <cellStyle name="Hipervínculo" xfId="11" builtinId="8" hidden="1"/>
    <cellStyle name="Hipervínculo" xfId="13" builtinId="8" hidden="1"/>
    <cellStyle name="Hipervínculo" xfId="15" builtinId="8" hidden="1"/>
    <cellStyle name="Hipervínculo" xfId="17" builtinId="8" hidden="1"/>
    <cellStyle name="Hipervínculo" xfId="19" builtinId="8" hidden="1"/>
    <cellStyle name="Hipervínculo" xfId="21" builtinId="8" hidden="1"/>
    <cellStyle name="Hipervínculo" xfId="23" builtinId="8" hidden="1"/>
    <cellStyle name="Hipervínculo" xfId="25" builtinId="8" hidden="1"/>
    <cellStyle name="Hipervínculo" xfId="27" builtinId="8" hidden="1"/>
    <cellStyle name="Hipervínculo" xfId="29" builtinId="8" hidden="1"/>
    <cellStyle name="Hipervínculo" xfId="31" builtinId="8" hidden="1"/>
    <cellStyle name="Hipervínculo" xfId="33" builtinId="8" hidden="1"/>
    <cellStyle name="Hipervínculo" xfId="35" builtinId="8" hidden="1"/>
    <cellStyle name="Hipervínculo" xfId="37" builtinId="8" hidden="1"/>
    <cellStyle name="Hipervínculo" xfId="39" builtinId="8" hidden="1"/>
    <cellStyle name="Hipervínculo" xfId="41" builtinId="8" hidden="1"/>
    <cellStyle name="Hipervínculo" xfId="43" builtinId="8" hidden="1"/>
    <cellStyle name="Hipervínculo" xfId="45" builtinId="8" hidden="1"/>
    <cellStyle name="Hipervínculo" xfId="47" builtinId="8" hidden="1"/>
    <cellStyle name="Hipervínculo" xfId="49" builtinId="8" hidden="1"/>
    <cellStyle name="Hipervínculo" xfId="51" builtinId="8" hidden="1"/>
    <cellStyle name="Hipervínculo" xfId="53" builtinId="8" hidden="1"/>
    <cellStyle name="Hipervínculo" xfId="55" builtinId="8" hidden="1"/>
    <cellStyle name="Hipervínculo" xfId="57" builtinId="8" hidden="1"/>
    <cellStyle name="Hipervínculo" xfId="59" builtinId="8" hidden="1"/>
    <cellStyle name="Hipervínculo" xfId="61" builtinId="8" hidden="1"/>
    <cellStyle name="Hipervínculo" xfId="63" builtinId="8" hidden="1"/>
    <cellStyle name="Hipervínculo" xfId="65" builtinId="8" hidden="1"/>
    <cellStyle name="Hipervínculo" xfId="67" builtinId="8" hidden="1"/>
    <cellStyle name="Hipervínculo" xfId="69" builtinId="8" hidden="1"/>
    <cellStyle name="Hipervínculo" xfId="71" builtinId="8" hidden="1"/>
    <cellStyle name="Hipervínculo visitado" xfId="2" builtinId="9" hidden="1"/>
    <cellStyle name="Hipervínculo visitado" xfId="4" builtinId="9" hidden="1"/>
    <cellStyle name="Hipervínculo visitado" xfId="6" builtinId="9" hidden="1"/>
    <cellStyle name="Hipervínculo visitado" xfId="8" builtinId="9" hidden="1"/>
    <cellStyle name="Hipervínculo visitado" xfId="10" builtinId="9" hidden="1"/>
    <cellStyle name="Hipervínculo visitado" xfId="12" builtinId="9" hidden="1"/>
    <cellStyle name="Hipervínculo visitado" xfId="14" builtinId="9" hidden="1"/>
    <cellStyle name="Hipervínculo visitado" xfId="16" builtinId="9" hidden="1"/>
    <cellStyle name="Hipervínculo visitado" xfId="18" builtinId="9" hidden="1"/>
    <cellStyle name="Hipervínculo visitado" xfId="20" builtinId="9" hidden="1"/>
    <cellStyle name="Hipervínculo visitado" xfId="22" builtinId="9" hidden="1"/>
    <cellStyle name="Hipervínculo visitado" xfId="24" builtinId="9" hidden="1"/>
    <cellStyle name="Hipervínculo visitado" xfId="26" builtinId="9" hidden="1"/>
    <cellStyle name="Hipervínculo visitado" xfId="28" builtinId="9" hidden="1"/>
    <cellStyle name="Hipervínculo visitado" xfId="30" builtinId="9" hidden="1"/>
    <cellStyle name="Hipervínculo visitado" xfId="32" builtinId="9" hidden="1"/>
    <cellStyle name="Hipervínculo visitado" xfId="34" builtinId="9" hidden="1"/>
    <cellStyle name="Hipervínculo visitado" xfId="36" builtinId="9" hidden="1"/>
    <cellStyle name="Hipervínculo visitado" xfId="38" builtinId="9" hidden="1"/>
    <cellStyle name="Hipervínculo visitado" xfId="40" builtinId="9" hidden="1"/>
    <cellStyle name="Hipervínculo visitado" xfId="42" builtinId="9" hidden="1"/>
    <cellStyle name="Hipervínculo visitado" xfId="44" builtinId="9" hidden="1"/>
    <cellStyle name="Hipervínculo visitado" xfId="46" builtinId="9" hidden="1"/>
    <cellStyle name="Hipervínculo visitado" xfId="48" builtinId="9" hidden="1"/>
    <cellStyle name="Hipervínculo visitado" xfId="50" builtinId="9" hidden="1"/>
    <cellStyle name="Hipervínculo visitado" xfId="52" builtinId="9" hidden="1"/>
    <cellStyle name="Hipervínculo visitado" xfId="54" builtinId="9" hidden="1"/>
    <cellStyle name="Hipervínculo visitado" xfId="56" builtinId="9" hidden="1"/>
    <cellStyle name="Hipervínculo visitado" xfId="58" builtinId="9" hidden="1"/>
    <cellStyle name="Hipervínculo visitado" xfId="60" builtinId="9" hidden="1"/>
    <cellStyle name="Hipervínculo visitado" xfId="62" builtinId="9" hidden="1"/>
    <cellStyle name="Hipervínculo visitado" xfId="64" builtinId="9" hidden="1"/>
    <cellStyle name="Hipervínculo visitado" xfId="66" builtinId="9" hidden="1"/>
    <cellStyle name="Hipervínculo visitado" xfId="68" builtinId="9" hidden="1"/>
    <cellStyle name="Hipervínculo visitado" xfId="70" builtinId="9" hidden="1"/>
    <cellStyle name="Hipervínculo visitado" xfId="72" builtinId="9" hidden="1"/>
    <cellStyle name="Normal" xfId="0" builtinId="0"/>
  </cellStyles>
  <dxfs count="0"/>
  <tableStyles count="0" defaultTableStyle="TableStyleMedium9" defaultPivotStyle="PivotStyleMedium4"/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4" Type="http://schemas.openxmlformats.org/officeDocument/2006/relationships/sharedStrings" Target="sharedStrings.xml"/><Relationship Id="rId5" Type="http://schemas.openxmlformats.org/officeDocument/2006/relationships/calcChain" Target="calcChain.xml"/><Relationship Id="rId1" Type="http://schemas.openxmlformats.org/officeDocument/2006/relationships/worksheet" Target="worksheets/sheet1.xml"/><Relationship Id="rId2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170</xdr:row>
      <xdr:rowOff>50800</xdr:rowOff>
    </xdr:from>
    <xdr:to>
      <xdr:col>8</xdr:col>
      <xdr:colOff>381000</xdr:colOff>
      <xdr:row>174</xdr:row>
      <xdr:rowOff>114300</xdr:rowOff>
    </xdr:to>
    <xdr:pic>
      <xdr:nvPicPr>
        <xdr:cNvPr id="3" name="Imagen 2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8957" t="42870" r="57709" b="51111"/>
        <a:stretch/>
      </xdr:blipFill>
      <xdr:spPr>
        <a:xfrm>
          <a:off x="0" y="29959300"/>
          <a:ext cx="8128000" cy="825500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381000</xdr:colOff>
      <xdr:row>181</xdr:row>
      <xdr:rowOff>101600</xdr:rowOff>
    </xdr:from>
    <xdr:to>
      <xdr:col>5</xdr:col>
      <xdr:colOff>965200</xdr:colOff>
      <xdr:row>185</xdr:row>
      <xdr:rowOff>139700</xdr:rowOff>
    </xdr:to>
    <xdr:pic>
      <xdr:nvPicPr>
        <xdr:cNvPr id="4" name="Imagen 3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4740" t="46389" r="63906" b="47778"/>
        <a:stretch/>
      </xdr:blipFill>
      <xdr:spPr>
        <a:xfrm>
          <a:off x="381000" y="32105600"/>
          <a:ext cx="5207000" cy="800100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189</xdr:row>
      <xdr:rowOff>0</xdr:rowOff>
    </xdr:from>
    <xdr:to>
      <xdr:col>8</xdr:col>
      <xdr:colOff>444500</xdr:colOff>
      <xdr:row>216</xdr:row>
      <xdr:rowOff>12700</xdr:rowOff>
    </xdr:to>
    <xdr:pic>
      <xdr:nvPicPr>
        <xdr:cNvPr id="5" name="Imagen 4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8177" t="46667" r="58386" b="15741"/>
        <a:stretch/>
      </xdr:blipFill>
      <xdr:spPr>
        <a:xfrm>
          <a:off x="38100" y="33718500"/>
          <a:ext cx="8153400" cy="51562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O330"/>
  <sheetViews>
    <sheetView tabSelected="1" topLeftCell="A283" workbookViewId="0">
      <selection activeCell="F331" sqref="F331"/>
    </sheetView>
  </sheetViews>
  <sheetFormatPr baseColWidth="10" defaultRowHeight="15" x14ac:dyDescent="0"/>
  <cols>
    <col min="2" max="2" width="11.5" customWidth="1"/>
    <col min="3" max="3" width="16.6640625" bestFit="1" customWidth="1"/>
    <col min="6" max="6" width="18.6640625" bestFit="1" customWidth="1"/>
    <col min="8" max="8" width="11.5" bestFit="1" customWidth="1"/>
    <col min="10" max="10" width="12.83203125" bestFit="1" customWidth="1"/>
  </cols>
  <sheetData>
    <row r="3" spans="1:13">
      <c r="B3" t="s">
        <v>0</v>
      </c>
      <c r="C3" t="s">
        <v>1</v>
      </c>
      <c r="F3" t="s">
        <v>8</v>
      </c>
      <c r="G3">
        <v>1525</v>
      </c>
      <c r="H3" t="s">
        <v>12</v>
      </c>
    </row>
    <row r="4" spans="1:13">
      <c r="B4" t="s">
        <v>2</v>
      </c>
      <c r="C4">
        <v>1585.9</v>
      </c>
      <c r="F4" t="s">
        <v>9</v>
      </c>
      <c r="G4">
        <v>1700</v>
      </c>
      <c r="H4" t="s">
        <v>12</v>
      </c>
    </row>
    <row r="5" spans="1:13">
      <c r="B5" t="s">
        <v>3</v>
      </c>
      <c r="C5">
        <v>773.5</v>
      </c>
      <c r="F5" t="s">
        <v>10</v>
      </c>
      <c r="G5">
        <v>1790</v>
      </c>
      <c r="H5" t="s">
        <v>12</v>
      </c>
    </row>
    <row r="6" spans="1:13">
      <c r="B6" t="s">
        <v>5</v>
      </c>
      <c r="C6">
        <v>1577</v>
      </c>
      <c r="F6" t="s">
        <v>11</v>
      </c>
      <c r="G6">
        <v>1498</v>
      </c>
      <c r="H6" t="s">
        <v>12</v>
      </c>
    </row>
    <row r="7" spans="1:13">
      <c r="B7" t="s">
        <v>6</v>
      </c>
      <c r="C7">
        <v>48.8</v>
      </c>
      <c r="F7" t="s">
        <v>13</v>
      </c>
      <c r="G7">
        <v>998.3</v>
      </c>
      <c r="H7" t="s">
        <v>12</v>
      </c>
    </row>
    <row r="8" spans="1:13">
      <c r="B8" t="s">
        <v>7</v>
      </c>
      <c r="C8">
        <v>11801.4</v>
      </c>
      <c r="F8" t="s">
        <v>14</v>
      </c>
      <c r="G8">
        <v>1.003E-3</v>
      </c>
      <c r="H8" t="s">
        <v>15</v>
      </c>
    </row>
    <row r="9" spans="1:13">
      <c r="B9" t="s">
        <v>4</v>
      </c>
      <c r="C9">
        <f>SUM(C4:C8)</f>
        <v>15786.6</v>
      </c>
    </row>
    <row r="10" spans="1:13">
      <c r="B10" t="s">
        <v>136</v>
      </c>
      <c r="C10">
        <v>1000</v>
      </c>
    </row>
    <row r="11" spans="1:13">
      <c r="B11" t="s">
        <v>137</v>
      </c>
      <c r="C11">
        <v>1000</v>
      </c>
    </row>
    <row r="12" spans="1:13">
      <c r="A12" s="1" t="s">
        <v>16</v>
      </c>
    </row>
    <row r="14" spans="1:13">
      <c r="A14" s="2" t="s">
        <v>18</v>
      </c>
      <c r="C14" s="3" t="s">
        <v>19</v>
      </c>
      <c r="L14" t="s">
        <v>48</v>
      </c>
    </row>
    <row r="15" spans="1:13">
      <c r="A15" s="2"/>
      <c r="C15" s="3"/>
    </row>
    <row r="16" spans="1:13">
      <c r="A16" s="2"/>
      <c r="B16" s="1" t="s">
        <v>36</v>
      </c>
      <c r="C16" s="3"/>
      <c r="M16" s="1" t="s">
        <v>36</v>
      </c>
    </row>
    <row r="18" spans="1:15">
      <c r="A18" t="s">
        <v>21</v>
      </c>
      <c r="D18" t="s">
        <v>31</v>
      </c>
      <c r="E18" s="6">
        <f>(C9+C10)/J20</f>
        <v>16.256774041648868</v>
      </c>
      <c r="F18" t="s">
        <v>32</v>
      </c>
      <c r="L18" t="s">
        <v>49</v>
      </c>
      <c r="M18">
        <f>(SUM(C5:C8))+C10+C11</f>
        <v>16200.7</v>
      </c>
      <c r="N18" t="s">
        <v>50</v>
      </c>
    </row>
    <row r="19" spans="1:15">
      <c r="L19" t="s">
        <v>20</v>
      </c>
      <c r="M19" s="5">
        <f>M18/N20</f>
        <v>15.404061717163341</v>
      </c>
      <c r="N19" t="s">
        <v>32</v>
      </c>
    </row>
    <row r="20" spans="1:15">
      <c r="A20" t="s">
        <v>22</v>
      </c>
      <c r="H20" t="s">
        <v>23</v>
      </c>
      <c r="J20" s="6">
        <f>C9/H22</f>
        <v>1032.5910883053273</v>
      </c>
      <c r="L20" t="s">
        <v>117</v>
      </c>
      <c r="N20" s="6">
        <f>M18/((C5/G6)+(C6/G3)+(C7/G4)+((C8+C10+C11)/G7))</f>
        <v>1051.7161186097455</v>
      </c>
      <c r="O20" t="s">
        <v>12</v>
      </c>
    </row>
    <row r="22" spans="1:15">
      <c r="A22" t="s">
        <v>24</v>
      </c>
      <c r="B22" s="5">
        <f>C8/G7</f>
        <v>11.821496544125013</v>
      </c>
      <c r="C22" t="s">
        <v>25</v>
      </c>
      <c r="H22">
        <f>(C4/G5)+(C5/G6)+(C6/G3)+(C7/G4)+((C8+1000)/G7)</f>
        <v>15.288336475873258</v>
      </c>
      <c r="M22" s="5"/>
    </row>
    <row r="24" spans="1:15">
      <c r="A24" t="s">
        <v>26</v>
      </c>
      <c r="C24" s="5">
        <f>C4/B22</f>
        <v>134.15391140034234</v>
      </c>
      <c r="D24" t="s">
        <v>27</v>
      </c>
      <c r="L24" t="s">
        <v>51</v>
      </c>
      <c r="N24" s="5">
        <f>C5/B22</f>
        <v>65.431647940074896</v>
      </c>
      <c r="O24" t="s">
        <v>52</v>
      </c>
    </row>
    <row r="26" spans="1:15">
      <c r="A26" t="s">
        <v>28</v>
      </c>
      <c r="C26" s="5">
        <f>(C9+C10)/B22</f>
        <v>1420.006336536343</v>
      </c>
      <c r="D26" t="s">
        <v>29</v>
      </c>
      <c r="L26" t="s">
        <v>53</v>
      </c>
      <c r="N26" s="5">
        <f>M18/B22</f>
        <v>1370.444083752775</v>
      </c>
      <c r="O26" t="s">
        <v>54</v>
      </c>
    </row>
    <row r="27" spans="1:15">
      <c r="C27" s="5"/>
    </row>
    <row r="28" spans="1:15">
      <c r="A28" t="s">
        <v>33</v>
      </c>
      <c r="B28">
        <v>1</v>
      </c>
      <c r="C28" s="5" t="s">
        <v>34</v>
      </c>
      <c r="N28" s="5"/>
    </row>
    <row r="30" spans="1:15">
      <c r="A30" s="7" t="s">
        <v>30</v>
      </c>
      <c r="B30" s="8">
        <f>(E18*C24*B28)/C26</f>
        <v>1.5358451355635412</v>
      </c>
      <c r="C30" s="7" t="s">
        <v>35</v>
      </c>
      <c r="L30" s="10" t="s">
        <v>55</v>
      </c>
      <c r="M30" s="10"/>
      <c r="N30" s="11">
        <f>(M19*N24*B28)/N26</f>
        <v>0.73546462425857173</v>
      </c>
      <c r="O30" s="10" t="s">
        <v>35</v>
      </c>
    </row>
    <row r="32" spans="1:15">
      <c r="B32" s="1" t="s">
        <v>37</v>
      </c>
      <c r="M32" s="1" t="s">
        <v>37</v>
      </c>
    </row>
    <row r="34" spans="1:14">
      <c r="A34" t="s">
        <v>41</v>
      </c>
      <c r="B34" s="6">
        <f>(E18/3600)/B36</f>
        <v>0.90315411342493712</v>
      </c>
      <c r="C34" t="s">
        <v>56</v>
      </c>
      <c r="L34" t="s">
        <v>46</v>
      </c>
      <c r="M34" s="5">
        <f>(M19/3600)/B36</f>
        <v>0.85578120650907452</v>
      </c>
      <c r="N34" t="s">
        <v>56</v>
      </c>
    </row>
    <row r="36" spans="1:14">
      <c r="A36" t="s">
        <v>38</v>
      </c>
      <c r="B36">
        <v>5.0000000000000001E-3</v>
      </c>
      <c r="C36" t="s">
        <v>39</v>
      </c>
      <c r="D36" t="s">
        <v>40</v>
      </c>
    </row>
    <row r="38" spans="1:14">
      <c r="A38" t="s">
        <v>42</v>
      </c>
      <c r="B38" s="5">
        <f>SQRT((4*B34)/3.1416)</f>
        <v>1.0723473519196127</v>
      </c>
      <c r="C38" t="s">
        <v>43</v>
      </c>
      <c r="L38" t="s">
        <v>45</v>
      </c>
      <c r="M38" s="5">
        <f>SQRT((4*M34)/3.1416)</f>
        <v>1.0438447805022844</v>
      </c>
      <c r="N38" t="s">
        <v>43</v>
      </c>
    </row>
    <row r="40" spans="1:14">
      <c r="A40" t="s">
        <v>44</v>
      </c>
      <c r="C40">
        <f>0.15</f>
        <v>0.15</v>
      </c>
    </row>
    <row r="42" spans="1:14">
      <c r="A42" s="7" t="s">
        <v>45</v>
      </c>
      <c r="B42" s="9">
        <f>B38*(1+C40)</f>
        <v>1.2331994547075544</v>
      </c>
      <c r="C42" s="7" t="s">
        <v>43</v>
      </c>
      <c r="L42" s="10" t="s">
        <v>45</v>
      </c>
      <c r="M42" s="11">
        <f>M38*(1+C40)</f>
        <v>1.2004214975776268</v>
      </c>
      <c r="N42" s="10" t="s">
        <v>43</v>
      </c>
    </row>
    <row r="43" spans="1:14">
      <c r="A43" s="7" t="s">
        <v>46</v>
      </c>
      <c r="B43" s="9">
        <f>B34*(1+C40)</f>
        <v>1.0386272304386777</v>
      </c>
      <c r="C43" s="7" t="s">
        <v>56</v>
      </c>
      <c r="L43" s="10" t="s">
        <v>46</v>
      </c>
      <c r="M43" s="11">
        <f>M34*(1+C40)</f>
        <v>0.98414838748543565</v>
      </c>
      <c r="N43" s="10" t="s">
        <v>56</v>
      </c>
    </row>
    <row r="46" spans="1:14">
      <c r="B46" s="1" t="s">
        <v>57</v>
      </c>
      <c r="M46" s="1" t="s">
        <v>57</v>
      </c>
    </row>
    <row r="48" spans="1:14">
      <c r="A48" s="7" t="s">
        <v>58</v>
      </c>
      <c r="B48" s="9">
        <f>B30/B43</f>
        <v>1.4787260439097645</v>
      </c>
      <c r="C48" s="7" t="s">
        <v>43</v>
      </c>
      <c r="L48" s="10" t="s">
        <v>34</v>
      </c>
      <c r="M48" s="11">
        <f>N30/M43</f>
        <v>0.74731070396582433</v>
      </c>
      <c r="N48" s="10" t="s">
        <v>43</v>
      </c>
    </row>
    <row r="51" spans="1:13">
      <c r="B51" s="1" t="s">
        <v>47</v>
      </c>
      <c r="M51" s="1" t="s">
        <v>47</v>
      </c>
    </row>
    <row r="53" spans="1:13">
      <c r="A53" t="s">
        <v>97</v>
      </c>
      <c r="L53" t="s">
        <v>112</v>
      </c>
    </row>
    <row r="55" spans="1:13">
      <c r="A55" t="s">
        <v>96</v>
      </c>
    </row>
    <row r="56" spans="1:13">
      <c r="A56" t="s">
        <v>98</v>
      </c>
      <c r="B56" s="15">
        <v>5.5000000000000002E-5</v>
      </c>
      <c r="C56" t="s">
        <v>43</v>
      </c>
    </row>
    <row r="57" spans="1:13">
      <c r="A57" t="s">
        <v>99</v>
      </c>
      <c r="B57">
        <f>G7</f>
        <v>998.3</v>
      </c>
      <c r="C57" t="s">
        <v>12</v>
      </c>
      <c r="D57" t="s">
        <v>101</v>
      </c>
      <c r="E57" s="5">
        <f>(B56*B59*B57)/B58</f>
        <v>0.27371136590229317</v>
      </c>
      <c r="F57" t="s">
        <v>102</v>
      </c>
    </row>
    <row r="58" spans="1:13">
      <c r="A58" t="s">
        <v>100</v>
      </c>
      <c r="B58">
        <f>G8</f>
        <v>1.003E-3</v>
      </c>
      <c r="C58" t="s">
        <v>15</v>
      </c>
    </row>
    <row r="59" spans="1:13">
      <c r="A59" t="s">
        <v>38</v>
      </c>
      <c r="B59">
        <f>B36</f>
        <v>5.0000000000000001E-3</v>
      </c>
      <c r="C59" t="s">
        <v>39</v>
      </c>
    </row>
    <row r="61" spans="1:13">
      <c r="A61" t="s">
        <v>103</v>
      </c>
      <c r="D61" t="s">
        <v>107</v>
      </c>
      <c r="L61" t="s">
        <v>113</v>
      </c>
    </row>
    <row r="62" spans="1:13">
      <c r="A62" t="s">
        <v>104</v>
      </c>
      <c r="B62">
        <v>0.45</v>
      </c>
    </row>
    <row r="63" spans="1:13">
      <c r="A63" t="s">
        <v>108</v>
      </c>
      <c r="B63" s="15">
        <f>(150*(1-B62)^2*B59*B58)/((B56^2)*(B62^3))</f>
        <v>825514.40329218109</v>
      </c>
      <c r="C63" t="s">
        <v>105</v>
      </c>
      <c r="D63" t="s">
        <v>106</v>
      </c>
      <c r="E63" s="15">
        <f>B63*B64</f>
        <v>1220709.6477707769</v>
      </c>
      <c r="F63" t="s">
        <v>109</v>
      </c>
      <c r="G63" s="13" t="s">
        <v>111</v>
      </c>
    </row>
    <row r="64" spans="1:13">
      <c r="A64" t="s">
        <v>20</v>
      </c>
      <c r="B64" s="5">
        <f>B48</f>
        <v>1.4787260439097645</v>
      </c>
      <c r="C64" t="s">
        <v>43</v>
      </c>
      <c r="E64" s="16">
        <f>E63*0.00001</f>
        <v>12.20709647770777</v>
      </c>
      <c r="F64" t="s">
        <v>110</v>
      </c>
    </row>
    <row r="67" spans="1:11">
      <c r="A67" s="1" t="s">
        <v>17</v>
      </c>
      <c r="D67" t="s">
        <v>75</v>
      </c>
    </row>
    <row r="69" spans="1:11">
      <c r="A69" s="2" t="s">
        <v>59</v>
      </c>
      <c r="D69" t="s">
        <v>76</v>
      </c>
    </row>
    <row r="71" spans="1:11">
      <c r="B71" t="s">
        <v>71</v>
      </c>
    </row>
    <row r="73" spans="1:11">
      <c r="A73" t="s">
        <v>60</v>
      </c>
      <c r="B73">
        <f>C9</f>
        <v>15786.6</v>
      </c>
      <c r="C73" t="s">
        <v>50</v>
      </c>
      <c r="D73" s="5">
        <f>B73/3600</f>
        <v>4.3851666666666667</v>
      </c>
      <c r="E73" t="s">
        <v>64</v>
      </c>
    </row>
    <row r="74" spans="1:11">
      <c r="A74" t="s">
        <v>61</v>
      </c>
      <c r="B74" s="6">
        <f>C9/((C4/G5)+(C5/G6)+(C6/G3)+(C7/G4)+(C8/G7))</f>
        <v>1104.9908930994063</v>
      </c>
      <c r="C74" t="s">
        <v>12</v>
      </c>
    </row>
    <row r="76" spans="1:11">
      <c r="A76" s="7" t="s">
        <v>62</v>
      </c>
      <c r="B76" s="9">
        <f>10.74*((D73^0.1)/(B74^0.36))</f>
        <v>0.9990650357224129</v>
      </c>
      <c r="C76" s="7" t="s">
        <v>39</v>
      </c>
    </row>
    <row r="78" spans="1:11">
      <c r="A78" s="7" t="s">
        <v>63</v>
      </c>
      <c r="B78" s="9">
        <f>SQRT((4*D73)/(3.1416*B74*B76))</f>
        <v>7.1116663665003299E-2</v>
      </c>
      <c r="C78" s="7" t="s">
        <v>43</v>
      </c>
      <c r="D78" s="9">
        <f>B78/0.0254</f>
        <v>2.7998686482284763</v>
      </c>
      <c r="E78" s="7" t="s">
        <v>65</v>
      </c>
      <c r="F78" s="12" t="s">
        <v>66</v>
      </c>
      <c r="G78" s="7" t="s">
        <v>67</v>
      </c>
      <c r="H78" s="7">
        <v>3</v>
      </c>
      <c r="I78" s="7" t="s">
        <v>65</v>
      </c>
      <c r="J78" s="7">
        <f>H78*0.0254</f>
        <v>7.619999999999999E-2</v>
      </c>
      <c r="K78" s="7" t="s">
        <v>43</v>
      </c>
    </row>
    <row r="80" spans="1:11">
      <c r="A80" t="s">
        <v>68</v>
      </c>
    </row>
    <row r="82" spans="1:11">
      <c r="A82" s="7" t="s">
        <v>69</v>
      </c>
      <c r="B82" s="7"/>
      <c r="C82" s="7"/>
      <c r="D82" s="9">
        <f>(D73/B74)/(3.1416/4*(J78^2))</f>
        <v>0.87021500167910493</v>
      </c>
      <c r="E82" s="7" t="s">
        <v>39</v>
      </c>
    </row>
    <row r="85" spans="1:11">
      <c r="B85" t="s">
        <v>70</v>
      </c>
    </row>
    <row r="86" spans="1:11">
      <c r="A86" s="13" t="s">
        <v>134</v>
      </c>
      <c r="B86" s="13"/>
      <c r="C86" s="13"/>
    </row>
    <row r="87" spans="1:11">
      <c r="A87" t="s">
        <v>80</v>
      </c>
      <c r="B87" s="13">
        <v>1000</v>
      </c>
      <c r="C87" t="s">
        <v>50</v>
      </c>
      <c r="D87" s="5">
        <f>B87/3600</f>
        <v>0.27777777777777779</v>
      </c>
      <c r="E87" t="s">
        <v>64</v>
      </c>
    </row>
    <row r="88" spans="1:11">
      <c r="A88" t="s">
        <v>114</v>
      </c>
      <c r="B88">
        <f>G7</f>
        <v>998.3</v>
      </c>
      <c r="C88" t="s">
        <v>12</v>
      </c>
    </row>
    <row r="90" spans="1:11">
      <c r="A90" t="s">
        <v>62</v>
      </c>
      <c r="B90" s="5">
        <f>10.74*((D87^0.1)/(B88^0.36))</f>
        <v>0.7863937363807435</v>
      </c>
      <c r="C90" t="s">
        <v>39</v>
      </c>
    </row>
    <row r="92" spans="1:11">
      <c r="A92" t="s">
        <v>63</v>
      </c>
      <c r="B92" s="4">
        <f>SQRT((4*D87)/(3.1416*B88*B90))</f>
        <v>2.1225246505524833E-2</v>
      </c>
      <c r="C92" t="s">
        <v>43</v>
      </c>
      <c r="D92" s="5">
        <f>B92/0.0254</f>
        <v>0.83563962620176513</v>
      </c>
      <c r="E92" t="s">
        <v>65</v>
      </c>
      <c r="F92" t="s">
        <v>81</v>
      </c>
      <c r="G92" t="s">
        <v>45</v>
      </c>
      <c r="H92">
        <v>1</v>
      </c>
      <c r="I92" t="s">
        <v>65</v>
      </c>
      <c r="J92">
        <f>H92*0.0254</f>
        <v>2.5399999999999999E-2</v>
      </c>
      <c r="K92" t="s">
        <v>43</v>
      </c>
    </row>
    <row r="94" spans="1:11">
      <c r="A94" t="s">
        <v>133</v>
      </c>
    </row>
    <row r="96" spans="1:11">
      <c r="A96" t="s">
        <v>84</v>
      </c>
      <c r="B96" s="5">
        <f>(D87/B88)/((3.1416*(J92^2))/4)</f>
        <v>0.54913370130340622</v>
      </c>
      <c r="C96" t="s">
        <v>39</v>
      </c>
    </row>
    <row r="98" spans="1:11">
      <c r="B98" t="s">
        <v>72</v>
      </c>
    </row>
    <row r="100" spans="1:11">
      <c r="A100" t="s">
        <v>73</v>
      </c>
      <c r="B100">
        <f>C4</f>
        <v>1585.9</v>
      </c>
      <c r="C100" t="s">
        <v>74</v>
      </c>
      <c r="D100" s="5">
        <f>B100/3600</f>
        <v>0.4405277777777778</v>
      </c>
      <c r="E100" t="s">
        <v>64</v>
      </c>
    </row>
    <row r="101" spans="1:11">
      <c r="A101" s="17" t="s">
        <v>115</v>
      </c>
      <c r="B101" s="17">
        <f>G5</f>
        <v>1790</v>
      </c>
      <c r="C101" s="17" t="s">
        <v>12</v>
      </c>
    </row>
    <row r="103" spans="1:11">
      <c r="A103" t="s">
        <v>62</v>
      </c>
      <c r="B103" s="5">
        <f>10.74*((D100^0.1)/(B101^0.36))</f>
        <v>0.66738204756260122</v>
      </c>
      <c r="C103" t="s">
        <v>39</v>
      </c>
    </row>
    <row r="105" spans="1:11">
      <c r="A105" t="s">
        <v>63</v>
      </c>
      <c r="B105" s="4">
        <f>SQRT((4*D100)/(3.1416*B101*B103))</f>
        <v>2.1668428993058347E-2</v>
      </c>
      <c r="C105" t="s">
        <v>43</v>
      </c>
      <c r="D105" s="5">
        <f>B105/0.0254</f>
        <v>0.85308775563221839</v>
      </c>
      <c r="E105" t="s">
        <v>65</v>
      </c>
      <c r="F105" t="s">
        <v>77</v>
      </c>
      <c r="G105" t="s">
        <v>67</v>
      </c>
      <c r="H105" s="5">
        <v>1</v>
      </c>
      <c r="I105" t="s">
        <v>65</v>
      </c>
      <c r="J105" s="4">
        <f>H105*0.0254</f>
        <v>2.5399999999999999E-2</v>
      </c>
      <c r="K105" t="s">
        <v>43</v>
      </c>
    </row>
    <row r="107" spans="1:11">
      <c r="A107" t="s">
        <v>116</v>
      </c>
    </row>
    <row r="109" spans="1:11">
      <c r="A109" t="s">
        <v>84</v>
      </c>
      <c r="B109" s="5">
        <f>(D100/B101)/((3.1416*(J105^2))/4)</f>
        <v>0.48569310389069659</v>
      </c>
    </row>
    <row r="113" spans="1:11">
      <c r="B113" t="s">
        <v>78</v>
      </c>
    </row>
    <row r="115" spans="1:11">
      <c r="A115" t="s">
        <v>79</v>
      </c>
      <c r="B115">
        <f>(SUM(C5:C8))+C10</f>
        <v>15200.7</v>
      </c>
      <c r="C115" t="s">
        <v>50</v>
      </c>
      <c r="D115" s="5">
        <f>B115/3600</f>
        <v>4.2224166666666667</v>
      </c>
      <c r="E115" t="s">
        <v>64</v>
      </c>
      <c r="F115" t="s">
        <v>118</v>
      </c>
      <c r="G115" s="6">
        <f>B115/((C5/G6)+(C6/G3)+(C7/G4)+((C8+C10)/G7))</f>
        <v>1055.4312795293731</v>
      </c>
      <c r="H115" t="s">
        <v>12</v>
      </c>
    </row>
    <row r="116" spans="1:11">
      <c r="B116" s="13" t="s">
        <v>135</v>
      </c>
      <c r="C116" s="13"/>
    </row>
    <row r="118" spans="1:11">
      <c r="A118" t="s">
        <v>62</v>
      </c>
      <c r="B118" s="5">
        <f>10.74*((D115^0.1)/(G115^0.36))</f>
        <v>1.0118720595939508</v>
      </c>
      <c r="C118" t="s">
        <v>39</v>
      </c>
    </row>
    <row r="120" spans="1:11">
      <c r="A120" t="s">
        <v>63</v>
      </c>
      <c r="B120" s="5">
        <f>SQRT((4*D115)/(3.1416*G115*B118))</f>
        <v>7.0950802586197625E-2</v>
      </c>
      <c r="C120" t="s">
        <v>43</v>
      </c>
      <c r="D120" s="5">
        <f>B120/0.0254</f>
        <v>2.7933386844959696</v>
      </c>
      <c r="E120" t="s">
        <v>65</v>
      </c>
      <c r="F120" s="5" t="s">
        <v>81</v>
      </c>
      <c r="G120" t="s">
        <v>45</v>
      </c>
      <c r="H120">
        <f>3</f>
        <v>3</v>
      </c>
      <c r="I120" t="s">
        <v>65</v>
      </c>
      <c r="J120">
        <f>H120*0.0254</f>
        <v>7.619999999999999E-2</v>
      </c>
      <c r="K120" t="s">
        <v>43</v>
      </c>
    </row>
    <row r="122" spans="1:11">
      <c r="A122" t="s">
        <v>68</v>
      </c>
    </row>
    <row r="124" spans="1:11">
      <c r="A124" t="s">
        <v>82</v>
      </c>
      <c r="B124" s="5">
        <f>(D115/G115)/((3.1416*J120^2)/4)</f>
        <v>0.87726395694718384</v>
      </c>
      <c r="C124" t="s">
        <v>39</v>
      </c>
    </row>
    <row r="127" spans="1:11">
      <c r="B127" t="s">
        <v>86</v>
      </c>
    </row>
    <row r="129" spans="1:11">
      <c r="A129" t="s">
        <v>83</v>
      </c>
      <c r="B129">
        <f>C5</f>
        <v>773.5</v>
      </c>
      <c r="C129" t="s">
        <v>50</v>
      </c>
      <c r="D129" s="5">
        <f>B129/3600</f>
        <v>0.21486111111111111</v>
      </c>
      <c r="E129" t="s">
        <v>64</v>
      </c>
      <c r="F129" t="s">
        <v>11</v>
      </c>
      <c r="G129">
        <f>G6</f>
        <v>1498</v>
      </c>
      <c r="H129" t="s">
        <v>12</v>
      </c>
    </row>
    <row r="132" spans="1:11">
      <c r="A132" t="s">
        <v>62</v>
      </c>
      <c r="B132" s="5">
        <f>10.74*((D129^0.1)/(G129^0.36))</f>
        <v>0.66227110981995063</v>
      </c>
      <c r="C132" t="s">
        <v>39</v>
      </c>
    </row>
    <row r="135" spans="1:11">
      <c r="A135" t="s">
        <v>63</v>
      </c>
      <c r="B135" s="4">
        <f>SQRT((4*D129)/(3.1416*G129*B132))</f>
        <v>1.6605794087248198E-2</v>
      </c>
      <c r="C135" t="s">
        <v>43</v>
      </c>
      <c r="D135" s="5">
        <f>B135/0.0254</f>
        <v>0.65377142075780315</v>
      </c>
      <c r="E135" t="s">
        <v>65</v>
      </c>
      <c r="F135" t="s">
        <v>81</v>
      </c>
      <c r="G135" t="s">
        <v>45</v>
      </c>
      <c r="H135" s="16">
        <f>3/4</f>
        <v>0.75</v>
      </c>
      <c r="I135" t="s">
        <v>65</v>
      </c>
      <c r="J135" s="4">
        <f>H135*0.0254</f>
        <v>1.9049999999999997E-2</v>
      </c>
      <c r="K135" t="s">
        <v>43</v>
      </c>
    </row>
    <row r="137" spans="1:11">
      <c r="A137" t="s">
        <v>68</v>
      </c>
    </row>
    <row r="139" spans="1:11">
      <c r="A139" t="s">
        <v>84</v>
      </c>
      <c r="B139" s="5">
        <f>(D129/G129)/((3.1416*J135^2)/4)</f>
        <v>0.50322840480362663</v>
      </c>
      <c r="C139" t="s">
        <v>39</v>
      </c>
    </row>
    <row r="141" spans="1:11">
      <c r="B141" t="s">
        <v>138</v>
      </c>
    </row>
    <row r="143" spans="1:11">
      <c r="B143" t="s">
        <v>141</v>
      </c>
    </row>
    <row r="144" spans="1:11">
      <c r="A144" t="s">
        <v>139</v>
      </c>
      <c r="B144">
        <f>C11</f>
        <v>1000</v>
      </c>
      <c r="C144" t="s">
        <v>50</v>
      </c>
      <c r="D144">
        <f>B144/3600</f>
        <v>0.27777777777777779</v>
      </c>
      <c r="E144" t="s">
        <v>64</v>
      </c>
      <c r="F144" t="s">
        <v>140</v>
      </c>
      <c r="G144">
        <f>G7</f>
        <v>998.3</v>
      </c>
      <c r="H144" t="s">
        <v>12</v>
      </c>
    </row>
    <row r="146" spans="1:11">
      <c r="A146" t="s">
        <v>62</v>
      </c>
      <c r="B146" s="5">
        <f>B90</f>
        <v>0.7863937363807435</v>
      </c>
      <c r="C146" t="s">
        <v>39</v>
      </c>
    </row>
    <row r="148" spans="1:11">
      <c r="A148" t="s">
        <v>63</v>
      </c>
      <c r="B148" s="4">
        <f>B92</f>
        <v>2.1225246505524833E-2</v>
      </c>
      <c r="C148" t="s">
        <v>43</v>
      </c>
      <c r="D148">
        <f>B148/0.0254</f>
        <v>0.83563962620176513</v>
      </c>
      <c r="E148" t="s">
        <v>65</v>
      </c>
      <c r="F148" t="s">
        <v>81</v>
      </c>
      <c r="G148" t="s">
        <v>45</v>
      </c>
      <c r="H148">
        <v>1</v>
      </c>
      <c r="I148" t="s">
        <v>65</v>
      </c>
      <c r="J148">
        <f>H148*0.0254</f>
        <v>2.5399999999999999E-2</v>
      </c>
      <c r="K148" t="s">
        <v>43</v>
      </c>
    </row>
    <row r="150" spans="1:11">
      <c r="A150" t="s">
        <v>133</v>
      </c>
    </row>
    <row r="152" spans="1:11">
      <c r="A152" t="s">
        <v>84</v>
      </c>
      <c r="B152" s="5">
        <f>B96</f>
        <v>0.54913370130340622</v>
      </c>
      <c r="C152" t="s">
        <v>39</v>
      </c>
    </row>
    <row r="155" spans="1:11">
      <c r="B155" t="s">
        <v>85</v>
      </c>
    </row>
    <row r="157" spans="1:11">
      <c r="A157" t="s">
        <v>87</v>
      </c>
      <c r="B157">
        <f>(SUM(C6:C8))+C10+C11</f>
        <v>15427.199999999999</v>
      </c>
      <c r="C157" t="s">
        <v>50</v>
      </c>
      <c r="D157" s="5">
        <f>B157/3600</f>
        <v>4.285333333333333</v>
      </c>
      <c r="E157" t="s">
        <v>64</v>
      </c>
      <c r="F157" t="s">
        <v>119</v>
      </c>
      <c r="G157" s="5">
        <f>B157/((C6/G3)+(C7/G4)+((C8+C10+C11)/G7))</f>
        <v>1036.2375104744401</v>
      </c>
      <c r="H157" t="s">
        <v>12</v>
      </c>
    </row>
    <row r="159" spans="1:11">
      <c r="A159" t="s">
        <v>62</v>
      </c>
      <c r="B159" s="5">
        <f>10.74*((D157^0.1)/(G157^0.36))</f>
        <v>1.0200874181621047</v>
      </c>
      <c r="C159" t="s">
        <v>39</v>
      </c>
    </row>
    <row r="161" spans="1:11">
      <c r="A161" t="s">
        <v>63</v>
      </c>
      <c r="B161" s="4">
        <f>SQRT((4*D157)/(3.1416*B159*G157))</f>
        <v>7.184532372511232E-2</v>
      </c>
      <c r="C161" t="s">
        <v>43</v>
      </c>
      <c r="D161" s="5">
        <f>B161/0.0254</f>
        <v>2.8285560521697763</v>
      </c>
      <c r="E161" t="s">
        <v>65</v>
      </c>
      <c r="F161" t="s">
        <v>81</v>
      </c>
      <c r="G161" t="s">
        <v>45</v>
      </c>
      <c r="H161">
        <v>3</v>
      </c>
      <c r="I161" t="s">
        <v>65</v>
      </c>
      <c r="J161">
        <f>H161*0.0254</f>
        <v>7.619999999999999E-2</v>
      </c>
      <c r="K161" t="s">
        <v>43</v>
      </c>
    </row>
    <row r="163" spans="1:11">
      <c r="A163" t="s">
        <v>68</v>
      </c>
    </row>
    <row r="165" spans="1:11">
      <c r="A165" t="s">
        <v>84</v>
      </c>
      <c r="B165" s="5">
        <f>(D157/G157)/((3.1416*J161^2)/4)</f>
        <v>0.90682703734733572</v>
      </c>
      <c r="C165" t="s">
        <v>39</v>
      </c>
    </row>
    <row r="169" spans="1:11">
      <c r="A169" s="14" t="s">
        <v>88</v>
      </c>
    </row>
    <row r="177" spans="1:3">
      <c r="A177" t="s">
        <v>89</v>
      </c>
    </row>
    <row r="178" spans="1:3">
      <c r="A178" t="s">
        <v>90</v>
      </c>
      <c r="B178">
        <v>3</v>
      </c>
      <c r="C178" t="s">
        <v>43</v>
      </c>
    </row>
    <row r="179" spans="1:3">
      <c r="A179" t="s">
        <v>91</v>
      </c>
    </row>
    <row r="181" spans="1:3">
      <c r="A181" t="s">
        <v>92</v>
      </c>
    </row>
    <row r="187" spans="1:3">
      <c r="A187" t="s">
        <v>93</v>
      </c>
      <c r="B187">
        <v>9.81</v>
      </c>
      <c r="C187" t="s">
        <v>94</v>
      </c>
    </row>
    <row r="188" spans="1:3">
      <c r="A188" t="s">
        <v>95</v>
      </c>
    </row>
    <row r="219" spans="1:4">
      <c r="B219" t="s">
        <v>71</v>
      </c>
    </row>
    <row r="220" spans="1:4">
      <c r="A220" t="s">
        <v>128</v>
      </c>
      <c r="B220">
        <v>3</v>
      </c>
      <c r="C220" t="s">
        <v>43</v>
      </c>
    </row>
    <row r="221" spans="1:4">
      <c r="A221" t="s">
        <v>93</v>
      </c>
      <c r="B221">
        <v>9.81</v>
      </c>
      <c r="C221" t="s">
        <v>94</v>
      </c>
    </row>
    <row r="222" spans="1:4">
      <c r="A222" t="s">
        <v>84</v>
      </c>
      <c r="B222" s="5">
        <f>D82</f>
        <v>0.87021500167910493</v>
      </c>
      <c r="C222" t="s">
        <v>39</v>
      </c>
    </row>
    <row r="223" spans="1:4">
      <c r="A223" s="13" t="s">
        <v>20</v>
      </c>
      <c r="B223" s="13">
        <f>15</f>
        <v>15</v>
      </c>
      <c r="C223" s="13" t="s">
        <v>43</v>
      </c>
      <c r="D223" s="13" t="s">
        <v>120</v>
      </c>
    </row>
    <row r="224" spans="1:4">
      <c r="A224" t="s">
        <v>45</v>
      </c>
      <c r="B224">
        <f>J78</f>
        <v>7.619999999999999E-2</v>
      </c>
      <c r="C224" t="s">
        <v>43</v>
      </c>
    </row>
    <row r="225" spans="1:5">
      <c r="A225" s="7" t="s">
        <v>122</v>
      </c>
      <c r="B225" s="7"/>
      <c r="C225" s="9">
        <f>(C226*B222*B224)/C227</f>
        <v>73053.209844780489</v>
      </c>
    </row>
    <row r="226" spans="1:5">
      <c r="B226" t="s">
        <v>99</v>
      </c>
      <c r="C226" s="6">
        <f>B74</f>
        <v>1104.9908930994063</v>
      </c>
      <c r="D226" t="s">
        <v>12</v>
      </c>
    </row>
    <row r="227" spans="1:5">
      <c r="B227" t="s">
        <v>100</v>
      </c>
      <c r="C227">
        <f>G8</f>
        <v>1.003E-3</v>
      </c>
      <c r="D227" t="s">
        <v>15</v>
      </c>
    </row>
    <row r="228" spans="1:5">
      <c r="A228" t="s">
        <v>124</v>
      </c>
      <c r="B228">
        <f>0.002</f>
        <v>2E-3</v>
      </c>
      <c r="C228" t="s">
        <v>125</v>
      </c>
      <c r="D228">
        <f>B228/1000</f>
        <v>1.9999999999999999E-6</v>
      </c>
      <c r="E228" t="s">
        <v>43</v>
      </c>
    </row>
    <row r="229" spans="1:5">
      <c r="A229" s="7" t="s">
        <v>123</v>
      </c>
      <c r="B229" s="19">
        <f>D228/B224</f>
        <v>2.6246719160104988E-5</v>
      </c>
    </row>
    <row r="230" spans="1:5">
      <c r="A230" s="7" t="s">
        <v>95</v>
      </c>
      <c r="B230" s="7">
        <f>7.5+4*0.7</f>
        <v>10.3</v>
      </c>
    </row>
    <row r="231" spans="1:5">
      <c r="A231" t="s">
        <v>126</v>
      </c>
      <c r="B231" s="18">
        <f>B224/4</f>
        <v>1.9049999999999997E-2</v>
      </c>
      <c r="C231" t="s">
        <v>43</v>
      </c>
    </row>
    <row r="232" spans="1:5">
      <c r="A232" s="7" t="s">
        <v>121</v>
      </c>
      <c r="B232" s="7">
        <v>0.02</v>
      </c>
    </row>
    <row r="233" spans="1:5">
      <c r="A233" s="7" t="s">
        <v>127</v>
      </c>
      <c r="B233" s="9">
        <f>(B220*B221)+(0.5*(B222^2)*(B223/B231)*B232)+(0.5*(B222^2)*B230)</f>
        <v>39.292750444072425</v>
      </c>
      <c r="C233" s="7" t="s">
        <v>132</v>
      </c>
    </row>
    <row r="235" spans="1:5">
      <c r="A235" t="s">
        <v>130</v>
      </c>
      <c r="B235">
        <v>0.7</v>
      </c>
    </row>
    <row r="236" spans="1:5">
      <c r="A236" t="s">
        <v>20</v>
      </c>
      <c r="B236" s="5">
        <f>D73</f>
        <v>4.3851666666666667</v>
      </c>
      <c r="C236" t="s">
        <v>64</v>
      </c>
    </row>
    <row r="237" spans="1:5">
      <c r="A237" s="7" t="s">
        <v>129</v>
      </c>
      <c r="B237" s="9">
        <f>B233*(B236/B235)</f>
        <v>246.15037069856896</v>
      </c>
      <c r="C237" s="7" t="s">
        <v>131</v>
      </c>
    </row>
    <row r="240" spans="1:5">
      <c r="B240" t="s">
        <v>142</v>
      </c>
    </row>
    <row r="242" spans="1:6">
      <c r="A242" t="s">
        <v>84</v>
      </c>
      <c r="B242" s="5">
        <f>B96</f>
        <v>0.54913370130340622</v>
      </c>
      <c r="C242" t="s">
        <v>39</v>
      </c>
      <c r="D242" t="s">
        <v>145</v>
      </c>
      <c r="E242" s="5">
        <f>D87</f>
        <v>0.27777777777777779</v>
      </c>
      <c r="F242" t="s">
        <v>64</v>
      </c>
    </row>
    <row r="243" spans="1:6">
      <c r="A243" t="s">
        <v>99</v>
      </c>
      <c r="B243">
        <f>B88</f>
        <v>998.3</v>
      </c>
      <c r="C243" t="s">
        <v>12</v>
      </c>
      <c r="D243" t="s">
        <v>100</v>
      </c>
      <c r="E243">
        <f>G8</f>
        <v>1.003E-3</v>
      </c>
      <c r="F243" t="s">
        <v>15</v>
      </c>
    </row>
    <row r="244" spans="1:6">
      <c r="A244" t="s">
        <v>45</v>
      </c>
      <c r="B244">
        <f>J92</f>
        <v>2.5399999999999999E-2</v>
      </c>
      <c r="C244" t="s">
        <v>43</v>
      </c>
    </row>
    <row r="246" spans="1:6">
      <c r="A246" t="s">
        <v>143</v>
      </c>
      <c r="B246">
        <f>(B243*B242*B244)/E243</f>
        <v>13882.636510353175</v>
      </c>
      <c r="D246" t="s">
        <v>144</v>
      </c>
    </row>
    <row r="247" spans="1:6">
      <c r="A247" t="s">
        <v>123</v>
      </c>
      <c r="B247">
        <f>D228/B244</f>
        <v>7.8740157480314957E-5</v>
      </c>
      <c r="D247" t="s">
        <v>121</v>
      </c>
      <c r="E247">
        <f>0.028</f>
        <v>2.8000000000000001E-2</v>
      </c>
    </row>
    <row r="249" spans="1:6">
      <c r="A249" t="s">
        <v>95</v>
      </c>
      <c r="B249">
        <f>7.5+4*0.7</f>
        <v>10.3</v>
      </c>
    </row>
    <row r="250" spans="1:6">
      <c r="A250" t="s">
        <v>126</v>
      </c>
      <c r="B250">
        <f>B244/4</f>
        <v>6.3499999999999997E-3</v>
      </c>
      <c r="C250" t="s">
        <v>43</v>
      </c>
    </row>
    <row r="252" spans="1:6">
      <c r="A252" t="s">
        <v>127</v>
      </c>
      <c r="B252">
        <f>(B220*B221)+(0.5*(B242^2)*(B223/B250)*E247)+(0.5*(B242^2)*B249)</f>
        <v>40.955418936445199</v>
      </c>
      <c r="C252" t="s">
        <v>132</v>
      </c>
    </row>
    <row r="253" spans="1:6">
      <c r="A253" t="s">
        <v>129</v>
      </c>
      <c r="B253">
        <f>B252*(E242/B235)</f>
        <v>16.252150371605239</v>
      </c>
      <c r="C253" t="s">
        <v>131</v>
      </c>
    </row>
    <row r="256" spans="1:6">
      <c r="B256" t="s">
        <v>146</v>
      </c>
    </row>
    <row r="258" spans="1:7">
      <c r="A258" t="s">
        <v>84</v>
      </c>
      <c r="B258" s="5">
        <f>B124</f>
        <v>0.87726395694718384</v>
      </c>
      <c r="C258" t="s">
        <v>39</v>
      </c>
      <c r="E258" t="s">
        <v>149</v>
      </c>
      <c r="F258" s="6">
        <f>G115</f>
        <v>1055.4312795293731</v>
      </c>
      <c r="G258" t="s">
        <v>12</v>
      </c>
    </row>
    <row r="259" spans="1:7">
      <c r="A259" t="s">
        <v>45</v>
      </c>
      <c r="B259">
        <f>J120</f>
        <v>7.619999999999999E-2</v>
      </c>
      <c r="C259" t="s">
        <v>43</v>
      </c>
      <c r="E259" t="s">
        <v>100</v>
      </c>
      <c r="F259">
        <f>G8</f>
        <v>1.003E-3</v>
      </c>
      <c r="G259" t="s">
        <v>15</v>
      </c>
    </row>
    <row r="260" spans="1:7">
      <c r="A260" t="s">
        <v>147</v>
      </c>
      <c r="B260" s="5">
        <f>D115</f>
        <v>4.2224166666666667</v>
      </c>
      <c r="C260" t="s">
        <v>148</v>
      </c>
    </row>
    <row r="262" spans="1:7">
      <c r="A262" t="s">
        <v>143</v>
      </c>
      <c r="B262">
        <f>(B258*B259*F258)/F259</f>
        <v>70341.930934308519</v>
      </c>
      <c r="D262" t="s">
        <v>144</v>
      </c>
    </row>
    <row r="263" spans="1:7">
      <c r="A263" t="s">
        <v>123</v>
      </c>
      <c r="B263">
        <f>D228/B259</f>
        <v>2.6246719160104988E-5</v>
      </c>
      <c r="D263" t="s">
        <v>121</v>
      </c>
      <c r="E263">
        <v>0.02</v>
      </c>
    </row>
    <row r="265" spans="1:7">
      <c r="A265" t="s">
        <v>95</v>
      </c>
      <c r="B265">
        <f>7.5+2*0.7</f>
        <v>8.9</v>
      </c>
    </row>
    <row r="266" spans="1:7">
      <c r="A266" t="s">
        <v>150</v>
      </c>
      <c r="B266">
        <f>B259/4</f>
        <v>1.9049999999999997E-2</v>
      </c>
      <c r="C266" t="s">
        <v>43</v>
      </c>
    </row>
    <row r="268" spans="1:7">
      <c r="A268" t="s">
        <v>127</v>
      </c>
      <c r="B268">
        <f>(B220*B221)+(0.5*(B258^2)*(B223/B266)*E263)+(0.5*(B258^2)*B265)</f>
        <v>38.914464545714807</v>
      </c>
      <c r="C268" t="s">
        <v>132</v>
      </c>
    </row>
    <row r="269" spans="1:7">
      <c r="A269" t="s">
        <v>129</v>
      </c>
      <c r="B269">
        <f>B268*(B260/B235)</f>
        <v>234.73297667462188</v>
      </c>
      <c r="C269" t="s">
        <v>131</v>
      </c>
    </row>
    <row r="272" spans="1:7">
      <c r="A272" s="1" t="s">
        <v>151</v>
      </c>
    </row>
    <row r="274" spans="1:6">
      <c r="B274" t="s">
        <v>152</v>
      </c>
    </row>
    <row r="276" spans="1:6">
      <c r="A276" t="s">
        <v>43</v>
      </c>
      <c r="B276">
        <f>C9</f>
        <v>15786.6</v>
      </c>
      <c r="C276" t="s">
        <v>50</v>
      </c>
    </row>
    <row r="277" spans="1:6">
      <c r="A277" t="s">
        <v>99</v>
      </c>
      <c r="B277" s="6">
        <f>B74</f>
        <v>1104.9908930994063</v>
      </c>
      <c r="C277" t="s">
        <v>12</v>
      </c>
    </row>
    <row r="278" spans="1:6">
      <c r="A278" t="s">
        <v>153</v>
      </c>
      <c r="B278">
        <f>B28</f>
        <v>1</v>
      </c>
      <c r="C278" t="s">
        <v>34</v>
      </c>
    </row>
    <row r="280" spans="1:6">
      <c r="A280" t="s">
        <v>154</v>
      </c>
      <c r="B280" s="5">
        <f>(B276*B278)/B277</f>
        <v>14.286633580951891</v>
      </c>
      <c r="C280" t="s">
        <v>35</v>
      </c>
      <c r="D280" t="s">
        <v>156</v>
      </c>
      <c r="E280" s="5">
        <f>B280*(1+B281)</f>
        <v>16.429628618094675</v>
      </c>
      <c r="F280" t="s">
        <v>35</v>
      </c>
    </row>
    <row r="281" spans="1:6">
      <c r="A281" t="s">
        <v>155</v>
      </c>
      <c r="B281">
        <f>0.15</f>
        <v>0.15</v>
      </c>
      <c r="D281" t="s">
        <v>157</v>
      </c>
    </row>
    <row r="282" spans="1:6">
      <c r="D282" t="s">
        <v>158</v>
      </c>
    </row>
    <row r="283" spans="1:6">
      <c r="D283" t="s">
        <v>159</v>
      </c>
      <c r="E283" s="5">
        <f>((4*E280)/(3*3.1416))^(1/3)</f>
        <v>1.910462562437957</v>
      </c>
      <c r="F283" t="s">
        <v>43</v>
      </c>
    </row>
    <row r="284" spans="1:6">
      <c r="D284" t="s">
        <v>160</v>
      </c>
      <c r="E284">
        <v>3</v>
      </c>
    </row>
    <row r="285" spans="1:6">
      <c r="D285" t="s">
        <v>161</v>
      </c>
      <c r="E285" s="5">
        <f>E284*E283</f>
        <v>5.7313876873138714</v>
      </c>
      <c r="F285" t="s">
        <v>43</v>
      </c>
    </row>
    <row r="288" spans="1:6">
      <c r="B288" t="s">
        <v>162</v>
      </c>
    </row>
    <row r="290" spans="1:6">
      <c r="A290" t="s">
        <v>43</v>
      </c>
      <c r="B290">
        <f>C10+C11</f>
        <v>2000</v>
      </c>
      <c r="C290" t="s">
        <v>50</v>
      </c>
    </row>
    <row r="291" spans="1:6">
      <c r="A291" t="s">
        <v>99</v>
      </c>
      <c r="B291">
        <f>G7</f>
        <v>998.3</v>
      </c>
      <c r="C291" t="s">
        <v>12</v>
      </c>
    </row>
    <row r="292" spans="1:6">
      <c r="A292" t="s">
        <v>153</v>
      </c>
      <c r="B292">
        <f>B28</f>
        <v>1</v>
      </c>
      <c r="C292" t="s">
        <v>34</v>
      </c>
    </row>
    <row r="295" spans="1:6">
      <c r="A295" t="s">
        <v>154</v>
      </c>
      <c r="B295">
        <f>(B290*B292)/B291</f>
        <v>2.0034057898427329</v>
      </c>
      <c r="C295" t="s">
        <v>35</v>
      </c>
    </row>
    <row r="296" spans="1:6">
      <c r="A296" t="s">
        <v>163</v>
      </c>
      <c r="B296">
        <f>B281</f>
        <v>0.15</v>
      </c>
      <c r="D296" t="s">
        <v>164</v>
      </c>
      <c r="E296" s="5">
        <f>B295*(1+B296)</f>
        <v>2.3039166583191428</v>
      </c>
      <c r="F296" t="s">
        <v>35</v>
      </c>
    </row>
    <row r="297" spans="1:6">
      <c r="D297" t="s">
        <v>159</v>
      </c>
      <c r="E297" s="5">
        <f>((4*E296)/(3*3.1416))^(1/3)</f>
        <v>0.99254804378938633</v>
      </c>
      <c r="F297" t="s">
        <v>43</v>
      </c>
    </row>
    <row r="298" spans="1:6">
      <c r="D298" t="s">
        <v>161</v>
      </c>
      <c r="E298" s="5">
        <f>E284*E297</f>
        <v>2.9776441313681588</v>
      </c>
      <c r="F298" t="s">
        <v>43</v>
      </c>
    </row>
    <row r="301" spans="1:6">
      <c r="B301" t="s">
        <v>165</v>
      </c>
    </row>
    <row r="303" spans="1:6">
      <c r="A303" t="s">
        <v>43</v>
      </c>
      <c r="B303">
        <f>C4</f>
        <v>1585.9</v>
      </c>
      <c r="C303" t="s">
        <v>50</v>
      </c>
    </row>
    <row r="304" spans="1:6">
      <c r="A304" t="s">
        <v>99</v>
      </c>
      <c r="B304">
        <f>G5</f>
        <v>1790</v>
      </c>
      <c r="C304" t="s">
        <v>12</v>
      </c>
    </row>
    <row r="307" spans="1:6">
      <c r="A307" t="s">
        <v>154</v>
      </c>
      <c r="B307">
        <f>(B303*B278)/B304</f>
        <v>0.885977653631285</v>
      </c>
      <c r="C307" t="s">
        <v>35</v>
      </c>
      <c r="D307" t="s">
        <v>166</v>
      </c>
      <c r="E307">
        <f>B307*(1+B281)</f>
        <v>1.0188743016759776</v>
      </c>
      <c r="F307" t="s">
        <v>35</v>
      </c>
    </row>
    <row r="308" spans="1:6">
      <c r="D308" t="s">
        <v>159</v>
      </c>
      <c r="E308">
        <f>((4*E307)/(3*3.1416))^(1/3)</f>
        <v>0.75619909326404788</v>
      </c>
      <c r="F308" t="s">
        <v>43</v>
      </c>
    </row>
    <row r="309" spans="1:6">
      <c r="D309" t="s">
        <v>161</v>
      </c>
      <c r="E309">
        <f>E284*E308</f>
        <v>2.2685972797921439</v>
      </c>
      <c r="F309" t="s">
        <v>43</v>
      </c>
    </row>
    <row r="312" spans="1:6">
      <c r="B312" t="s">
        <v>167</v>
      </c>
    </row>
    <row r="314" spans="1:6">
      <c r="A314" t="s">
        <v>43</v>
      </c>
      <c r="B314">
        <f>C5</f>
        <v>773.5</v>
      </c>
      <c r="C314" t="s">
        <v>50</v>
      </c>
    </row>
    <row r="315" spans="1:6">
      <c r="A315" t="s">
        <v>99</v>
      </c>
      <c r="B315">
        <f>G6</f>
        <v>1498</v>
      </c>
      <c r="C315" t="s">
        <v>12</v>
      </c>
    </row>
    <row r="318" spans="1:6">
      <c r="A318" t="s">
        <v>154</v>
      </c>
      <c r="B318">
        <f>(B314*B278)/B315</f>
        <v>0.51635514018691586</v>
      </c>
      <c r="C318" t="s">
        <v>35</v>
      </c>
      <c r="D318" t="s">
        <v>156</v>
      </c>
      <c r="E318">
        <f>B318*(1+B281)</f>
        <v>0.5938084112149532</v>
      </c>
      <c r="F318" t="s">
        <v>35</v>
      </c>
    </row>
    <row r="319" spans="1:6">
      <c r="D319" t="s">
        <v>168</v>
      </c>
      <c r="E319">
        <f>((4*E318)/(3*3.1416))^(1/3)</f>
        <v>0.63165227470197149</v>
      </c>
      <c r="F319" t="s">
        <v>43</v>
      </c>
    </row>
    <row r="320" spans="1:6">
      <c r="D320" t="s">
        <v>169</v>
      </c>
      <c r="E320">
        <f>E284*E319</f>
        <v>1.8949568241059145</v>
      </c>
      <c r="F320" t="s">
        <v>43</v>
      </c>
    </row>
    <row r="323" spans="1:6">
      <c r="B323" t="s">
        <v>167</v>
      </c>
    </row>
    <row r="325" spans="1:6">
      <c r="A325" t="s">
        <v>43</v>
      </c>
      <c r="B325">
        <f>C6+C7+C8+C10+C11</f>
        <v>15427.199999999999</v>
      </c>
      <c r="C325" t="s">
        <v>50</v>
      </c>
    </row>
    <row r="326" spans="1:6">
      <c r="A326" t="s">
        <v>99</v>
      </c>
      <c r="B326">
        <f>(C6+C7+C8+C10+C11)/((C6/G3)+(C7/G4)+((C8+C10+C11)/G7))</f>
        <v>1036.2375104744401</v>
      </c>
      <c r="C326" t="s">
        <v>12</v>
      </c>
    </row>
    <row r="328" spans="1:6">
      <c r="A328" t="s">
        <v>154</v>
      </c>
      <c r="B328">
        <f>(B325*B278)/B326</f>
        <v>14.887706576976425</v>
      </c>
      <c r="C328" t="s">
        <v>35</v>
      </c>
      <c r="D328" t="s">
        <v>166</v>
      </c>
      <c r="E328">
        <f>B328*(1+B281)</f>
        <v>17.120862563522888</v>
      </c>
      <c r="F328" t="s">
        <v>35</v>
      </c>
    </row>
    <row r="329" spans="1:6">
      <c r="D329" t="s">
        <v>168</v>
      </c>
      <c r="E329">
        <f>((4*E328)/(3*3.1416))^(1/3)</f>
        <v>1.9368879463212265</v>
      </c>
      <c r="F329" t="s">
        <v>43</v>
      </c>
    </row>
    <row r="330" spans="1:6">
      <c r="D330" t="s">
        <v>169</v>
      </c>
      <c r="E330">
        <f>E284*E329</f>
        <v>5.8106638389636798</v>
      </c>
      <c r="F330" t="s">
        <v>43</v>
      </c>
    </row>
  </sheetData>
  <pageMargins left="0.75" right="0.75" top="1" bottom="1" header="0.5" footer="0.5"/>
  <pageSetup paperSize="9"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Hojas de cálculo</vt:lpstr>
      </vt:variant>
      <vt:variant>
        <vt:i4>1</vt:i4>
      </vt:variant>
    </vt:vector>
  </HeadingPairs>
  <TitlesOfParts>
    <vt:vector size="1" baseType="lpstr">
      <vt:lpstr>Hoja1</vt:lpstr>
    </vt:vector>
  </TitlesOfParts>
  <Company>Ainoa Lara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Ainoa Lara</dc:creator>
  <cp:lastModifiedBy>Ainoa Lara</cp:lastModifiedBy>
  <dcterms:created xsi:type="dcterms:W3CDTF">2018-04-16T10:20:54Z</dcterms:created>
  <dcterms:modified xsi:type="dcterms:W3CDTF">2018-05-07T20:01:29Z</dcterms:modified>
</cp:coreProperties>
</file>